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Лист1" sheetId="1" r:id="rId1"/>
    <sheet name="6мес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<sst xmlns="http://schemas.openxmlformats.org/spreadsheetml/2006/main" count="129" uniqueCount="78">
  <si>
    <t>Доходы:</t>
  </si>
  <si>
    <t>счет</t>
  </si>
  <si>
    <t>1 квартал</t>
  </si>
  <si>
    <t>2 квартал</t>
  </si>
  <si>
    <t>3 квартал</t>
  </si>
  <si>
    <t>4 квартал</t>
  </si>
  <si>
    <t>50.1-62.1</t>
  </si>
  <si>
    <t>51.0-62.1</t>
  </si>
  <si>
    <t>Итого за год.</t>
  </si>
  <si>
    <t>Итого за период:</t>
  </si>
  <si>
    <t>Расходы:</t>
  </si>
  <si>
    <t>Расходы на оплату труда</t>
  </si>
  <si>
    <t>Расходы на пенсион.страхование</t>
  </si>
  <si>
    <t>Оплата услуг банка</t>
  </si>
  <si>
    <t>Расходы на канцелярские товары</t>
  </si>
  <si>
    <t>Приобретение права на использование программ для ЭВМ и баз данных</t>
  </si>
  <si>
    <t>Расходы на подготовку и переподготовку кадров</t>
  </si>
  <si>
    <t>Расходы на обслуживание ККМ</t>
  </si>
  <si>
    <t>Расходы по вывозу ТБО</t>
  </si>
  <si>
    <t>Расходы на оплату труда по договорам подряда</t>
  </si>
  <si>
    <t>Расходы по договору аренды транспорта</t>
  </si>
  <si>
    <t>Материальные расходы, материалы, инструменты и прочее</t>
  </si>
  <si>
    <t>Оплата поставщикам услуг:</t>
  </si>
  <si>
    <t>ИГТСК(ГВС и отопление)</t>
  </si>
  <si>
    <t>ООО"Энергосбыт"(электроэн.)</t>
  </si>
  <si>
    <t>Доходы-Расходы:</t>
  </si>
  <si>
    <t>Доходы 1С-бухгалтерия:</t>
  </si>
  <si>
    <t>Доходы-расходы</t>
  </si>
  <si>
    <t xml:space="preserve">Год </t>
  </si>
  <si>
    <t>69.0</t>
  </si>
  <si>
    <t>91.4</t>
  </si>
  <si>
    <t>Итого по поставщикам услуг:</t>
  </si>
  <si>
    <t>Прочие хоз.расходы</t>
  </si>
  <si>
    <t>70-50.1</t>
  </si>
  <si>
    <t>Расходы по обслуживанию лифтов</t>
  </si>
  <si>
    <t>ООО"Тепловодоконтроль" (поверка приборов учета)</t>
  </si>
  <si>
    <t>Суммы налогов и сборов, за исключ.единого (Негат.возд.на окр.среду; зем.налог; налог УСНО)</t>
  </si>
  <si>
    <t>Итого затраты по ООО "Холдинг-Радужный":</t>
  </si>
  <si>
    <t>в т.ч. по статье "Ремонт":</t>
  </si>
  <si>
    <t>Спецодежда</t>
  </si>
  <si>
    <t>Аудиторские услуги</t>
  </si>
  <si>
    <t>Судебные расходы и арбитражные сборы, адвокатские услуги</t>
  </si>
  <si>
    <t>Услуги связи, сотовая, интернет</t>
  </si>
  <si>
    <t>Расходы на почтовые, телеграфные, телефон. Обслуж.компьют.техники</t>
  </si>
  <si>
    <t>Книга Доходов и расходов за 2011 г.</t>
  </si>
  <si>
    <t>МУП ПУ ВКХ, ООО"Танар",  (ХВС, канализ.)</t>
  </si>
  <si>
    <t>возмещение из бюджета на кап.ремонт</t>
  </si>
  <si>
    <t>51.0-86.1</t>
  </si>
  <si>
    <t>Прочий приход денежных средств</t>
  </si>
  <si>
    <t>50.1-71.1</t>
  </si>
  <si>
    <t>Расходы 1С-Бухгалтерия:</t>
  </si>
  <si>
    <t>ООО "БайкалПромПоставка" (насосы; установка насосов)</t>
  </si>
  <si>
    <t>ООО "Пробизнесгруппа" (почтовые ящики)</t>
  </si>
  <si>
    <t>за 2012 год.</t>
  </si>
  <si>
    <t>Итого за 2012 год:</t>
  </si>
  <si>
    <t>Приход денежных средств от населения и собственников помещений по кассе предприятия.</t>
  </si>
  <si>
    <t>Приход денежных средств от населения и собственников помещений на расчетный счет</t>
  </si>
  <si>
    <t>Победина А.П.</t>
  </si>
  <si>
    <t>Главный бухгалтер:</t>
  </si>
  <si>
    <t>ООО "Холдинг-Радужный"</t>
  </si>
  <si>
    <t>Бухгалтерский учет хозяйственно-финансовой деятельности предприятия</t>
  </si>
  <si>
    <t>Рег.№ 3807002001; к/п 38011</t>
  </si>
  <si>
    <t>ИНН 3812062542;  КПП381201001</t>
  </si>
  <si>
    <t>Расходы на пенсион.страх. (страх.часть)</t>
  </si>
  <si>
    <t>Расходы на пенсион.страх. (накоп.часть)</t>
  </si>
  <si>
    <t>Расходы по ФСС</t>
  </si>
  <si>
    <t>Минимальный налог за 2011 г.</t>
  </si>
  <si>
    <t>Налог на доходы физ.лиц</t>
  </si>
  <si>
    <t>ООО "Пробизнесгруппа"; ООО "Востокавтоматика" (почтовые ящики)</t>
  </si>
  <si>
    <t>ООО "Сибтеплоком" (насосы; установка насосов); ООО"Водотеплотех"; ООО "Вэкос-ЭС"</t>
  </si>
  <si>
    <t>Суммы налогов и сборов, за исключ.единого (Негат.возд.на окр.среду; зем.налог; найм помещения)</t>
  </si>
  <si>
    <t>60.01-51.0</t>
  </si>
  <si>
    <t>69.1</t>
  </si>
  <si>
    <t>69.2</t>
  </si>
  <si>
    <t>69.11</t>
  </si>
  <si>
    <t>68.1</t>
  </si>
  <si>
    <t>68.20</t>
  </si>
  <si>
    <t>Использование программ для ЭВМ и баз данных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</si>
</sst>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8" xfId="0" applyBorder="1" applyAlignment="1">
      <alignment/>
    </xf>
    <xf numFmtId="0" fontId="4" fillId="0" borderId="19" xfId="0" applyFont="1" applyBorder="1" applyAlignment="1">
      <alignment wrapText="1"/>
    </xf>
    <xf numFmtId="0" fontId="0" fillId="0" borderId="19" xfId="0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wrapText="1"/>
    </xf>
    <xf numFmtId="0" fontId="0" fillId="0" borderId="21" xfId="0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.00390625" style="0" bestFit="1" customWidth="1"/>
    <col min="2" max="2" width="31.625" style="0" customWidth="1"/>
    <col min="3" max="3" width="13.75390625" style="0" bestFit="1" customWidth="1"/>
    <col min="4" max="4" width="10.875" style="0" bestFit="1" customWidth="1"/>
    <col min="5" max="7" width="10.625" style="0" bestFit="1" customWidth="1"/>
    <col min="8" max="8" width="12.125" style="0" bestFit="1" customWidth="1"/>
    <col min="9" max="9" width="4.125" style="0" bestFit="1" customWidth="1"/>
    <col min="10" max="10" width="8.125" style="0" customWidth="1"/>
  </cols>
  <sheetData>
    <row r="1" spans="1:8" ht="14.25">
      <c r="A1" s="29"/>
      <c r="B1" s="55" t="s">
        <v>59</v>
      </c>
      <c r="C1" s="55"/>
      <c r="D1" s="55"/>
      <c r="E1" s="55"/>
      <c r="F1" s="55"/>
      <c r="G1" s="55"/>
      <c r="H1" s="56"/>
    </row>
    <row r="2" spans="1:8" ht="12.75">
      <c r="A2" s="26"/>
      <c r="B2" s="1" t="s">
        <v>62</v>
      </c>
      <c r="C2" s="1"/>
      <c r="D2" s="1"/>
      <c r="E2" s="1"/>
      <c r="F2" s="1"/>
      <c r="G2" s="1"/>
      <c r="H2" s="45"/>
    </row>
    <row r="3" spans="1:8" ht="12.75">
      <c r="A3" s="26"/>
      <c r="B3" s="1" t="s">
        <v>61</v>
      </c>
      <c r="C3" s="1"/>
      <c r="D3" s="1"/>
      <c r="E3" s="1"/>
      <c r="F3" s="1"/>
      <c r="G3" s="1"/>
      <c r="H3" s="45"/>
    </row>
    <row r="4" spans="1:8" ht="12.75">
      <c r="A4" s="26"/>
      <c r="B4" s="1"/>
      <c r="C4" s="1"/>
      <c r="D4" s="1"/>
      <c r="E4" s="1"/>
      <c r="F4" s="1"/>
      <c r="G4" s="1"/>
      <c r="H4" s="45"/>
    </row>
    <row r="5" spans="1:8" ht="12.75">
      <c r="A5" s="26"/>
      <c r="B5" s="1"/>
      <c r="C5" s="1"/>
      <c r="D5" s="1"/>
      <c r="E5" s="1"/>
      <c r="F5" s="1"/>
      <c r="G5" s="1"/>
      <c r="H5" s="45"/>
    </row>
    <row r="6" spans="1:8" ht="12.75">
      <c r="A6" s="48" t="s">
        <v>60</v>
      </c>
      <c r="B6" s="49"/>
      <c r="C6" s="49"/>
      <c r="D6" s="49"/>
      <c r="E6" s="49"/>
      <c r="F6" s="49"/>
      <c r="G6" s="49"/>
      <c r="H6" s="50"/>
    </row>
    <row r="7" spans="1:8" ht="12.75">
      <c r="A7" s="51" t="s">
        <v>53</v>
      </c>
      <c r="B7" s="52"/>
      <c r="C7" s="52"/>
      <c r="D7" s="52"/>
      <c r="E7" s="52"/>
      <c r="F7" s="52"/>
      <c r="G7" s="52"/>
      <c r="H7" s="53"/>
    </row>
    <row r="8" spans="1:8" ht="12.75">
      <c r="A8" s="26"/>
      <c r="B8" s="1"/>
      <c r="C8" s="1"/>
      <c r="D8" s="1"/>
      <c r="E8" s="1"/>
      <c r="F8" s="1"/>
      <c r="G8" s="1"/>
      <c r="H8" s="45"/>
    </row>
    <row r="9" spans="1:8" ht="12.75">
      <c r="A9" s="60" t="s">
        <v>0</v>
      </c>
      <c r="B9" s="61"/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9" t="s">
        <v>8</v>
      </c>
    </row>
    <row r="10" spans="1:8" ht="51">
      <c r="A10" s="9">
        <v>1</v>
      </c>
      <c r="B10" s="40" t="s">
        <v>55</v>
      </c>
      <c r="C10" s="41" t="s">
        <v>6</v>
      </c>
      <c r="D10" s="24">
        <v>2083792.94</v>
      </c>
      <c r="E10" s="24"/>
      <c r="F10" s="24"/>
      <c r="G10" s="24"/>
      <c r="H10" s="24">
        <f>SUM(D10:G10)</f>
        <v>2083792.94</v>
      </c>
    </row>
    <row r="11" spans="1:8" ht="38.25">
      <c r="A11" s="9">
        <v>2</v>
      </c>
      <c r="B11" s="40" t="s">
        <v>56</v>
      </c>
      <c r="C11" s="41" t="s">
        <v>7</v>
      </c>
      <c r="D11" s="24">
        <v>912874.24</v>
      </c>
      <c r="E11" s="24"/>
      <c r="F11" s="24"/>
      <c r="G11" s="24"/>
      <c r="H11" s="24">
        <f>SUM(D11:G11)</f>
        <v>912874.24</v>
      </c>
    </row>
    <row r="12" spans="1:8" ht="25.5">
      <c r="A12" s="9">
        <v>3</v>
      </c>
      <c r="B12" s="40" t="s">
        <v>46</v>
      </c>
      <c r="C12" s="42" t="s">
        <v>47</v>
      </c>
      <c r="D12" s="24">
        <v>0</v>
      </c>
      <c r="E12" s="24"/>
      <c r="F12" s="24"/>
      <c r="G12" s="24"/>
      <c r="H12" s="24">
        <f>SUM(D12:G12)</f>
        <v>0</v>
      </c>
    </row>
    <row r="13" spans="1:14" ht="12.75">
      <c r="A13" s="9">
        <v>4</v>
      </c>
      <c r="B13" s="40" t="s">
        <v>48</v>
      </c>
      <c r="C13" s="42" t="s">
        <v>49</v>
      </c>
      <c r="D13" s="24">
        <v>15000</v>
      </c>
      <c r="E13" s="24"/>
      <c r="F13" s="24"/>
      <c r="G13" s="24"/>
      <c r="H13" s="24">
        <f>SUM(D13:G13)</f>
        <v>15000</v>
      </c>
      <c r="K13" s="2"/>
      <c r="L13" s="2"/>
      <c r="M13" s="2"/>
      <c r="N13" s="2"/>
    </row>
    <row r="14" spans="1:10" ht="12.75">
      <c r="A14" s="43"/>
      <c r="B14" s="44" t="s">
        <v>9</v>
      </c>
      <c r="C14" s="43"/>
      <c r="D14" s="36">
        <f>SUM(D10:D13)</f>
        <v>3011667.1799999997</v>
      </c>
      <c r="E14" s="36">
        <f>SUM(E10:E13)</f>
        <v>0</v>
      </c>
      <c r="F14" s="36">
        <f>SUM(F10:F13)</f>
        <v>0</v>
      </c>
      <c r="G14" s="36">
        <f>SUM(G10:G13)</f>
        <v>0</v>
      </c>
      <c r="H14" s="36">
        <f>SUM(H10:H13)</f>
        <v>3011667.1799999997</v>
      </c>
      <c r="I14" s="5"/>
      <c r="J14" s="6"/>
    </row>
    <row r="15" spans="1:10" ht="12.75">
      <c r="A15" s="1"/>
      <c r="B15" s="38"/>
      <c r="C15" s="1"/>
      <c r="D15" s="39"/>
      <c r="E15" s="39"/>
      <c r="F15" s="39"/>
      <c r="G15" s="39"/>
      <c r="H15" s="39"/>
      <c r="I15" s="5"/>
      <c r="J15" s="6"/>
    </row>
    <row r="16" spans="1:10" ht="12.75">
      <c r="A16" s="1"/>
      <c r="B16" s="38"/>
      <c r="C16" s="1"/>
      <c r="D16" s="39"/>
      <c r="E16" s="39"/>
      <c r="F16" s="39"/>
      <c r="G16" s="39"/>
      <c r="H16" s="39"/>
      <c r="I16" s="5"/>
      <c r="J16" s="6"/>
    </row>
    <row r="17" spans="1:10" ht="25.5" customHeight="1">
      <c r="A17" s="1"/>
      <c r="B17" s="38" t="s">
        <v>58</v>
      </c>
      <c r="C17" s="4"/>
      <c r="D17" s="21"/>
      <c r="E17" s="21"/>
      <c r="F17" s="21"/>
      <c r="G17" s="54" t="s">
        <v>57</v>
      </c>
      <c r="H17" s="54"/>
      <c r="I17" s="5"/>
      <c r="J17" s="6"/>
    </row>
    <row r="18" spans="4:7" ht="12.75">
      <c r="D18" s="20"/>
      <c r="E18" s="20"/>
      <c r="G18" s="37"/>
    </row>
    <row r="19" spans="1:8" ht="12.75">
      <c r="A19" s="62" t="s">
        <v>10</v>
      </c>
      <c r="B19" s="63"/>
      <c r="C19" s="8" t="s">
        <v>1</v>
      </c>
      <c r="D19" s="8" t="s">
        <v>2</v>
      </c>
      <c r="E19" s="8" t="s">
        <v>3</v>
      </c>
      <c r="F19" s="8" t="s">
        <v>4</v>
      </c>
      <c r="G19" s="8" t="s">
        <v>5</v>
      </c>
      <c r="H19" s="9" t="s">
        <v>8</v>
      </c>
    </row>
    <row r="20" spans="1:8" ht="12.75">
      <c r="A20" s="26"/>
      <c r="B20" s="27" t="s">
        <v>11</v>
      </c>
      <c r="C20" s="25" t="s">
        <v>33</v>
      </c>
      <c r="D20" s="18">
        <v>1490542</v>
      </c>
      <c r="E20" s="18"/>
      <c r="F20" s="18"/>
      <c r="G20" s="18"/>
      <c r="H20" s="19">
        <f>SUM(D20:G20)</f>
        <v>1490542</v>
      </c>
    </row>
    <row r="21" spans="1:8" ht="22.5">
      <c r="A21" s="26"/>
      <c r="B21" s="27" t="s">
        <v>19</v>
      </c>
      <c r="C21" s="25" t="s">
        <v>33</v>
      </c>
      <c r="D21" s="18">
        <v>0</v>
      </c>
      <c r="E21" s="18"/>
      <c r="F21" s="18"/>
      <c r="G21" s="18"/>
      <c r="H21" s="19">
        <f aca="true" t="shared" si="0" ref="H21:H38">SUM(D21:G21)</f>
        <v>0</v>
      </c>
    </row>
    <row r="22" spans="1:8" ht="12.75">
      <c r="A22" s="26"/>
      <c r="B22" s="27" t="s">
        <v>12</v>
      </c>
      <c r="C22" s="25" t="s">
        <v>29</v>
      </c>
      <c r="D22" s="18">
        <v>377640</v>
      </c>
      <c r="E22" s="18"/>
      <c r="F22" s="18"/>
      <c r="G22" s="18"/>
      <c r="H22" s="19">
        <f t="shared" si="0"/>
        <v>377640</v>
      </c>
    </row>
    <row r="23" spans="1:8" ht="12.75">
      <c r="A23" s="26"/>
      <c r="B23" s="27" t="s">
        <v>13</v>
      </c>
      <c r="C23" s="25" t="s">
        <v>30</v>
      </c>
      <c r="D23" s="18">
        <f>1960+5964</f>
        <v>7924</v>
      </c>
      <c r="E23" s="18"/>
      <c r="F23" s="18"/>
      <c r="G23" s="18"/>
      <c r="H23" s="19">
        <f t="shared" si="0"/>
        <v>7924</v>
      </c>
    </row>
    <row r="24" spans="1:8" ht="22.5">
      <c r="A24" s="26"/>
      <c r="B24" s="27" t="s">
        <v>21</v>
      </c>
      <c r="C24" s="1"/>
      <c r="D24" s="18">
        <f>20788.25</f>
        <v>20788.25</v>
      </c>
      <c r="E24" s="18"/>
      <c r="F24" s="18"/>
      <c r="G24" s="18"/>
      <c r="H24" s="19">
        <f t="shared" si="0"/>
        <v>20788.25</v>
      </c>
    </row>
    <row r="25" spans="1:8" ht="12.75">
      <c r="A25" s="26"/>
      <c r="B25" s="27" t="s">
        <v>40</v>
      </c>
      <c r="C25" s="1"/>
      <c r="D25" s="18">
        <v>0</v>
      </c>
      <c r="E25" s="18"/>
      <c r="F25" s="18"/>
      <c r="G25" s="18"/>
      <c r="H25" s="19">
        <f t="shared" si="0"/>
        <v>0</v>
      </c>
    </row>
    <row r="26" spans="1:8" ht="12.75">
      <c r="A26" s="26"/>
      <c r="B26" s="27" t="s">
        <v>14</v>
      </c>
      <c r="C26" s="1"/>
      <c r="D26" s="18">
        <v>4030.15</v>
      </c>
      <c r="E26" s="18"/>
      <c r="F26" s="18"/>
      <c r="G26" s="18"/>
      <c r="H26" s="19">
        <f t="shared" si="0"/>
        <v>4030.15</v>
      </c>
    </row>
    <row r="27" spans="1:8" ht="12.75">
      <c r="A27" s="26"/>
      <c r="B27" s="27" t="s">
        <v>42</v>
      </c>
      <c r="C27" s="1"/>
      <c r="D27" s="18">
        <v>4515</v>
      </c>
      <c r="E27" s="18"/>
      <c r="F27" s="18"/>
      <c r="G27" s="18"/>
      <c r="H27" s="19">
        <f t="shared" si="0"/>
        <v>4515</v>
      </c>
    </row>
    <row r="28" spans="1:8" ht="22.5">
      <c r="A28" s="26"/>
      <c r="B28" s="27" t="s">
        <v>43</v>
      </c>
      <c r="C28" s="1"/>
      <c r="D28" s="18">
        <f>6896.36</f>
        <v>6896.36</v>
      </c>
      <c r="E28" s="18"/>
      <c r="F28" s="18"/>
      <c r="G28" s="18"/>
      <c r="H28" s="19">
        <f t="shared" si="0"/>
        <v>6896.36</v>
      </c>
    </row>
    <row r="29" spans="1:8" ht="22.5">
      <c r="A29" s="26"/>
      <c r="B29" s="27" t="s">
        <v>15</v>
      </c>
      <c r="C29" s="1"/>
      <c r="D29" s="18">
        <v>0</v>
      </c>
      <c r="E29" s="18"/>
      <c r="F29" s="18"/>
      <c r="G29" s="18"/>
      <c r="H29" s="19">
        <f t="shared" si="0"/>
        <v>0</v>
      </c>
    </row>
    <row r="30" spans="1:8" ht="33.75">
      <c r="A30" s="26"/>
      <c r="B30" s="27" t="s">
        <v>36</v>
      </c>
      <c r="C30" s="1"/>
      <c r="D30" s="18">
        <f>200</f>
        <v>200</v>
      </c>
      <c r="E30" s="18"/>
      <c r="F30" s="18"/>
      <c r="G30" s="18"/>
      <c r="H30" s="19">
        <f t="shared" si="0"/>
        <v>200</v>
      </c>
    </row>
    <row r="31" spans="1:8" ht="12.75">
      <c r="A31" s="26"/>
      <c r="B31" s="27" t="s">
        <v>39</v>
      </c>
      <c r="C31" s="1"/>
      <c r="D31" s="18">
        <v>2303</v>
      </c>
      <c r="E31" s="18"/>
      <c r="F31" s="18"/>
      <c r="G31" s="18"/>
      <c r="H31" s="19">
        <f t="shared" si="0"/>
        <v>2303</v>
      </c>
    </row>
    <row r="32" spans="1:8" ht="22.5">
      <c r="A32" s="26"/>
      <c r="B32" s="27" t="s">
        <v>41</v>
      </c>
      <c r="C32" s="1"/>
      <c r="D32" s="18">
        <v>0</v>
      </c>
      <c r="E32" s="18"/>
      <c r="F32" s="18"/>
      <c r="G32" s="18"/>
      <c r="H32" s="19">
        <f t="shared" si="0"/>
        <v>0</v>
      </c>
    </row>
    <row r="33" spans="1:8" ht="22.5">
      <c r="A33" s="26"/>
      <c r="B33" s="27" t="s">
        <v>16</v>
      </c>
      <c r="C33" s="1"/>
      <c r="D33" s="18">
        <v>0</v>
      </c>
      <c r="E33" s="18"/>
      <c r="F33" s="18"/>
      <c r="G33" s="18"/>
      <c r="H33" s="19">
        <f t="shared" si="0"/>
        <v>0</v>
      </c>
    </row>
    <row r="34" spans="1:8" ht="12.75">
      <c r="A34" s="26"/>
      <c r="B34" s="27" t="s">
        <v>17</v>
      </c>
      <c r="C34" s="1"/>
      <c r="D34" s="18">
        <v>800</v>
      </c>
      <c r="E34" s="18"/>
      <c r="F34" s="18"/>
      <c r="G34" s="18"/>
      <c r="H34" s="19">
        <f t="shared" si="0"/>
        <v>800</v>
      </c>
    </row>
    <row r="35" spans="1:8" ht="12.75">
      <c r="A35" s="26"/>
      <c r="B35" s="27" t="s">
        <v>18</v>
      </c>
      <c r="C35" s="1"/>
      <c r="D35" s="18">
        <v>29933</v>
      </c>
      <c r="E35" s="18"/>
      <c r="F35" s="18"/>
      <c r="G35" s="18"/>
      <c r="H35" s="19">
        <f t="shared" si="0"/>
        <v>29933</v>
      </c>
    </row>
    <row r="36" spans="1:8" ht="13.5" customHeight="1">
      <c r="A36" s="26"/>
      <c r="B36" s="27" t="s">
        <v>20</v>
      </c>
      <c r="C36" s="1"/>
      <c r="D36" s="18">
        <v>0</v>
      </c>
      <c r="E36" s="18"/>
      <c r="F36" s="18"/>
      <c r="G36" s="18"/>
      <c r="H36" s="19">
        <f t="shared" si="0"/>
        <v>0</v>
      </c>
    </row>
    <row r="37" spans="1:8" ht="12.75">
      <c r="A37" s="26"/>
      <c r="B37" s="27" t="s">
        <v>34</v>
      </c>
      <c r="C37" s="1"/>
      <c r="D37" s="18">
        <v>28425</v>
      </c>
      <c r="E37" s="18"/>
      <c r="F37" s="18"/>
      <c r="G37" s="18"/>
      <c r="H37" s="19">
        <f t="shared" si="0"/>
        <v>28425</v>
      </c>
    </row>
    <row r="38" spans="1:8" ht="12.75">
      <c r="A38" s="26"/>
      <c r="B38" s="27" t="s">
        <v>32</v>
      </c>
      <c r="C38" s="1"/>
      <c r="D38" s="18">
        <v>26939</v>
      </c>
      <c r="E38" s="18"/>
      <c r="F38" s="18"/>
      <c r="G38" s="18"/>
      <c r="H38" s="19">
        <f t="shared" si="0"/>
        <v>26939</v>
      </c>
    </row>
    <row r="39" spans="1:8" ht="21.75">
      <c r="A39" s="10"/>
      <c r="B39" s="34" t="s">
        <v>37</v>
      </c>
      <c r="C39" s="12"/>
      <c r="D39" s="35">
        <f>SUM(D20:D38)</f>
        <v>2000935.76</v>
      </c>
      <c r="E39" s="35">
        <f>SUM(E20:E38)</f>
        <v>0</v>
      </c>
      <c r="F39" s="35">
        <f>SUM(F20:F38)</f>
        <v>0</v>
      </c>
      <c r="G39" s="35">
        <f>SUM(G20:G38)</f>
        <v>0</v>
      </c>
      <c r="H39" s="36">
        <f>SUM(H20:H38)</f>
        <v>2000935.76</v>
      </c>
    </row>
    <row r="40" spans="1:8" ht="12.75">
      <c r="A40" s="3"/>
      <c r="B40" s="28" t="s">
        <v>38</v>
      </c>
      <c r="C40" s="4"/>
      <c r="D40" s="21">
        <v>124518.94</v>
      </c>
      <c r="E40" s="21">
        <v>0</v>
      </c>
      <c r="F40" s="21">
        <v>0</v>
      </c>
      <c r="G40" s="21">
        <v>0</v>
      </c>
      <c r="H40" s="22">
        <f>SUM(D40:G40)</f>
        <v>124518.94</v>
      </c>
    </row>
    <row r="41" spans="1:8" ht="12.75">
      <c r="A41" s="29"/>
      <c r="B41" s="30" t="s">
        <v>22</v>
      </c>
      <c r="C41" s="31"/>
      <c r="D41" s="32"/>
      <c r="E41" s="32"/>
      <c r="F41" s="32"/>
      <c r="G41" s="32"/>
      <c r="H41" s="33"/>
    </row>
    <row r="42" spans="1:8" ht="12.75">
      <c r="A42" s="26"/>
      <c r="B42" s="27" t="s">
        <v>23</v>
      </c>
      <c r="C42" s="1"/>
      <c r="D42" s="18">
        <v>2497320</v>
      </c>
      <c r="E42" s="18"/>
      <c r="F42" s="18"/>
      <c r="G42" s="18"/>
      <c r="H42" s="19">
        <f aca="true" t="shared" si="1" ref="H42:H49">SUM(D42:G42)</f>
        <v>2497320</v>
      </c>
    </row>
    <row r="43" spans="1:8" ht="25.5" customHeight="1">
      <c r="A43" s="26"/>
      <c r="B43" s="27" t="s">
        <v>45</v>
      </c>
      <c r="C43" s="1"/>
      <c r="D43" s="18">
        <v>124522</v>
      </c>
      <c r="E43" s="18"/>
      <c r="F43" s="18"/>
      <c r="G43" s="18"/>
      <c r="H43" s="19">
        <f t="shared" si="1"/>
        <v>124522</v>
      </c>
    </row>
    <row r="44" spans="1:8" ht="12.75">
      <c r="A44" s="26"/>
      <c r="B44" s="27" t="s">
        <v>24</v>
      </c>
      <c r="C44" s="1"/>
      <c r="D44" s="18">
        <v>455973.84</v>
      </c>
      <c r="E44" s="18"/>
      <c r="F44" s="18"/>
      <c r="G44" s="18"/>
      <c r="H44" s="19">
        <f t="shared" si="1"/>
        <v>455973.84</v>
      </c>
    </row>
    <row r="45" spans="1:8" ht="22.5">
      <c r="A45" s="26"/>
      <c r="B45" s="27" t="s">
        <v>35</v>
      </c>
      <c r="C45" s="1"/>
      <c r="D45" s="18"/>
      <c r="E45" s="18"/>
      <c r="F45" s="18"/>
      <c r="G45" s="18"/>
      <c r="H45" s="19">
        <f t="shared" si="1"/>
        <v>0</v>
      </c>
    </row>
    <row r="46" spans="1:8" ht="23.25" customHeight="1">
      <c r="A46" s="26"/>
      <c r="B46" s="27" t="s">
        <v>51</v>
      </c>
      <c r="C46" s="1"/>
      <c r="D46" s="18">
        <v>0</v>
      </c>
      <c r="E46" s="18"/>
      <c r="F46" s="18"/>
      <c r="G46" s="18"/>
      <c r="H46" s="19">
        <f t="shared" si="1"/>
        <v>0</v>
      </c>
    </row>
    <row r="47" spans="1:8" ht="22.5">
      <c r="A47" s="26"/>
      <c r="B47" s="27" t="s">
        <v>52</v>
      </c>
      <c r="C47" s="1"/>
      <c r="D47" s="18"/>
      <c r="E47" s="18"/>
      <c r="F47" s="18"/>
      <c r="G47" s="18"/>
      <c r="H47" s="19">
        <f t="shared" si="1"/>
        <v>0</v>
      </c>
    </row>
    <row r="48" spans="1:8" ht="12.75">
      <c r="A48" s="10"/>
      <c r="B48" s="34" t="s">
        <v>31</v>
      </c>
      <c r="C48" s="12"/>
      <c r="D48" s="35">
        <f>SUM(D42:D47)</f>
        <v>3077815.84</v>
      </c>
      <c r="E48" s="35">
        <f>SUM(E42:E47)</f>
        <v>0</v>
      </c>
      <c r="F48" s="35">
        <f>SUM(F42:F47)</f>
        <v>0</v>
      </c>
      <c r="G48" s="35">
        <f>SUM(G42:G47)</f>
        <v>0</v>
      </c>
      <c r="H48" s="36">
        <f t="shared" si="1"/>
        <v>3077815.84</v>
      </c>
    </row>
    <row r="49" spans="1:8" ht="12.75">
      <c r="A49" s="10"/>
      <c r="B49" s="11" t="s">
        <v>54</v>
      </c>
      <c r="C49" s="12"/>
      <c r="D49" s="23">
        <f>SUM(D20:D38)+D48</f>
        <v>5078751.6</v>
      </c>
      <c r="E49" s="23">
        <f>SUM(E20:E38)+E48</f>
        <v>0</v>
      </c>
      <c r="F49" s="23">
        <f>SUM(F20:F38)+F48</f>
        <v>0</v>
      </c>
      <c r="G49" s="23">
        <f>SUM(G20:G38)+G48</f>
        <v>0</v>
      </c>
      <c r="H49" s="24">
        <f t="shared" si="1"/>
        <v>5078751.6</v>
      </c>
    </row>
    <row r="50" spans="2:8" ht="12.75">
      <c r="B50" s="14" t="s">
        <v>25</v>
      </c>
      <c r="D50" s="20">
        <f>D14-D49</f>
        <v>-2067084.42</v>
      </c>
      <c r="E50" s="20">
        <f>E14-E49</f>
        <v>0</v>
      </c>
      <c r="F50" s="20">
        <f>F14-F49</f>
        <v>0</v>
      </c>
      <c r="G50" s="20">
        <f>G14-G49</f>
        <v>0</v>
      </c>
      <c r="H50" s="20">
        <f>H14-H49</f>
        <v>-2067084.42</v>
      </c>
    </row>
    <row r="51" spans="2:8" ht="12.75">
      <c r="B51" s="7"/>
      <c r="D51" s="20"/>
      <c r="E51" s="20"/>
      <c r="F51" s="20"/>
      <c r="G51" s="20"/>
      <c r="H51" s="20"/>
    </row>
    <row r="53" spans="2:8" ht="12.75">
      <c r="B53" s="59" t="s">
        <v>44</v>
      </c>
      <c r="C53" s="59"/>
      <c r="D53" s="59"/>
      <c r="E53" s="59"/>
      <c r="F53" s="59"/>
      <c r="G53" s="59"/>
      <c r="H53" s="59"/>
    </row>
    <row r="54" spans="2:8" ht="12.75">
      <c r="B54" s="13"/>
      <c r="C54" s="13"/>
      <c r="D54" s="15" t="s">
        <v>2</v>
      </c>
      <c r="E54" s="15" t="s">
        <v>3</v>
      </c>
      <c r="F54" s="15" t="s">
        <v>4</v>
      </c>
      <c r="G54" s="15" t="s">
        <v>5</v>
      </c>
      <c r="H54" s="15" t="s">
        <v>28</v>
      </c>
    </row>
    <row r="55" spans="2:8" ht="12.75">
      <c r="B55" s="57" t="s">
        <v>26</v>
      </c>
      <c r="C55" s="58"/>
      <c r="D55" s="16">
        <v>6307185.08</v>
      </c>
      <c r="E55" s="16"/>
      <c r="F55" s="16"/>
      <c r="G55" s="16"/>
      <c r="H55" s="16">
        <f>SUM(D55:G55)</f>
        <v>6307185.08</v>
      </c>
    </row>
    <row r="56" spans="2:8" ht="12.75">
      <c r="B56" s="57" t="s">
        <v>50</v>
      </c>
      <c r="C56" s="58"/>
      <c r="D56" s="16">
        <v>5767304.31</v>
      </c>
      <c r="E56" s="16"/>
      <c r="F56" s="16"/>
      <c r="G56" s="16"/>
      <c r="H56" s="16">
        <f>SUM(D56:G56)</f>
        <v>5767304.31</v>
      </c>
    </row>
    <row r="57" spans="3:8" ht="12.75">
      <c r="C57" s="14" t="s">
        <v>27</v>
      </c>
      <c r="D57" s="16">
        <f>D55-D56</f>
        <v>539880.7700000005</v>
      </c>
      <c r="E57" s="16"/>
      <c r="F57" s="16"/>
      <c r="G57" s="16"/>
      <c r="H57" s="16">
        <f>SUM(D57:G57)</f>
        <v>539880.7700000005</v>
      </c>
    </row>
    <row r="58" spans="3:8" ht="12.75">
      <c r="C58" s="5">
        <v>0.15</v>
      </c>
      <c r="D58" s="16">
        <f>IF(D57&lt;0,0,D57*0.15)</f>
        <v>80982.11550000007</v>
      </c>
      <c r="E58" s="16"/>
      <c r="F58" s="16"/>
      <c r="G58" s="16"/>
      <c r="H58" s="17">
        <f>H57*C58</f>
        <v>80982.11550000007</v>
      </c>
    </row>
    <row r="59" spans="3:8" ht="12.75">
      <c r="C59" s="5">
        <v>0.01</v>
      </c>
      <c r="D59" s="16">
        <f>D55*1%</f>
        <v>63071.8508</v>
      </c>
      <c r="E59" s="16">
        <f>E55*1%</f>
        <v>0</v>
      </c>
      <c r="F59" s="16">
        <f>F55*1%</f>
        <v>0</v>
      </c>
      <c r="G59" s="16">
        <f>G55*1%</f>
        <v>0</v>
      </c>
      <c r="H59" s="17">
        <f>H55*C59</f>
        <v>63071.8508</v>
      </c>
    </row>
  </sheetData>
  <sheetProtection/>
  <mergeCells count="9">
    <mergeCell ref="A6:H6"/>
    <mergeCell ref="A7:H7"/>
    <mergeCell ref="G17:H17"/>
    <mergeCell ref="B1:H1"/>
    <mergeCell ref="B55:C55"/>
    <mergeCell ref="B56:C56"/>
    <mergeCell ref="B53:H53"/>
    <mergeCell ref="A9:B9"/>
    <mergeCell ref="A19:B19"/>
  </mergeCells>
  <printOptions gridLines="1"/>
  <pageMargins left="0.46" right="0.17" top="0.64" bottom="0.24" header="0.19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C47" sqref="C47"/>
    </sheetView>
  </sheetViews>
  <sheetFormatPr defaultColWidth="9.00390625" defaultRowHeight="12.75"/>
  <cols>
    <col min="1" max="1" width="4.625" style="0" customWidth="1"/>
    <col min="2" max="2" width="31.625" style="0" customWidth="1"/>
    <col min="3" max="3" width="13.75390625" style="0" bestFit="1" customWidth="1"/>
    <col min="4" max="4" width="10.875" style="0" bestFit="1" customWidth="1"/>
    <col min="5" max="7" width="10.625" style="0" bestFit="1" customWidth="1"/>
    <col min="8" max="8" width="12.125" style="0" bestFit="1" customWidth="1"/>
    <col min="9" max="9" width="11.375" style="0" customWidth="1"/>
    <col min="10" max="10" width="9.25390625" style="0" bestFit="1" customWidth="1"/>
    <col min="11" max="11" width="10.875" style="0" customWidth="1"/>
  </cols>
  <sheetData>
    <row r="1" spans="1:8" ht="14.25">
      <c r="A1" s="1"/>
      <c r="B1" s="67" t="s">
        <v>59</v>
      </c>
      <c r="C1" s="67"/>
      <c r="D1" s="67"/>
      <c r="E1" s="67"/>
      <c r="F1" s="67"/>
      <c r="G1" s="67"/>
      <c r="H1" s="67"/>
    </row>
    <row r="2" spans="1:8" ht="12.75">
      <c r="A2" s="1"/>
      <c r="B2" s="46" t="s">
        <v>62</v>
      </c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49" t="s">
        <v>60</v>
      </c>
      <c r="B4" s="49"/>
      <c r="C4" s="49"/>
      <c r="D4" s="49"/>
      <c r="E4" s="49"/>
      <c r="F4" s="49"/>
      <c r="G4" s="49"/>
      <c r="H4" s="49"/>
    </row>
    <row r="5" spans="1:8" ht="12.75">
      <c r="A5" s="52" t="s">
        <v>53</v>
      </c>
      <c r="B5" s="52"/>
      <c r="C5" s="52"/>
      <c r="D5" s="52"/>
      <c r="E5" s="52"/>
      <c r="F5" s="52"/>
      <c r="G5" s="52"/>
      <c r="H5" s="52"/>
    </row>
    <row r="6" spans="1:10" ht="12.75">
      <c r="A6" s="1"/>
      <c r="B6" s="38"/>
      <c r="C6" s="1"/>
      <c r="D6" s="39"/>
      <c r="E6" s="39"/>
      <c r="F6" s="39"/>
      <c r="G6" s="39"/>
      <c r="H6" s="39"/>
      <c r="I6" s="5"/>
      <c r="J6" s="6"/>
    </row>
    <row r="7" spans="1:8" ht="12.75">
      <c r="A7" s="62" t="s">
        <v>10</v>
      </c>
      <c r="B7" s="63"/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9" t="s">
        <v>8</v>
      </c>
    </row>
    <row r="8" spans="1:8" ht="12.75">
      <c r="A8" s="73">
        <v>1</v>
      </c>
      <c r="B8" s="68" t="s">
        <v>11</v>
      </c>
      <c r="C8" s="64">
        <v>50</v>
      </c>
      <c r="D8" s="69">
        <f>1077039.93-D9</f>
        <v>1000139.9299999999</v>
      </c>
      <c r="E8" s="69">
        <f>1150996.22-E9</f>
        <v>1065196.22</v>
      </c>
      <c r="F8" s="69">
        <f>1358824-F9</f>
        <v>1209002</v>
      </c>
      <c r="G8" s="69">
        <f>1979887.5-G9</f>
        <v>1707302.5</v>
      </c>
      <c r="H8" s="69">
        <f aca="true" t="shared" si="0" ref="H8:H30">SUM(D8:G8)</f>
        <v>4981640.65</v>
      </c>
    </row>
    <row r="9" spans="1:8" ht="25.5">
      <c r="A9" s="73">
        <v>2</v>
      </c>
      <c r="B9" s="68" t="s">
        <v>19</v>
      </c>
      <c r="C9" s="64">
        <v>50</v>
      </c>
      <c r="D9" s="69">
        <f>10800+48300+17800</f>
        <v>76900</v>
      </c>
      <c r="E9" s="69">
        <f>10800+10800+64200</f>
        <v>85800</v>
      </c>
      <c r="F9" s="69">
        <f>100405+24197+25220</f>
        <v>149822</v>
      </c>
      <c r="G9" s="69">
        <f>229828+12170+30587</f>
        <v>272585</v>
      </c>
      <c r="H9" s="69">
        <f t="shared" si="0"/>
        <v>585107</v>
      </c>
    </row>
    <row r="10" spans="1:8" ht="25.5">
      <c r="A10" s="73">
        <v>3</v>
      </c>
      <c r="B10" s="68" t="s">
        <v>63</v>
      </c>
      <c r="C10" s="77" t="s">
        <v>72</v>
      </c>
      <c r="D10" s="69">
        <v>200214.09</v>
      </c>
      <c r="E10" s="69">
        <v>245000</v>
      </c>
      <c r="F10" s="69">
        <v>262457.38</v>
      </c>
      <c r="G10" s="69">
        <v>428000</v>
      </c>
      <c r="H10" s="69">
        <f t="shared" si="0"/>
        <v>1135671.47</v>
      </c>
    </row>
    <row r="11" spans="1:8" ht="25.5">
      <c r="A11" s="73">
        <v>4</v>
      </c>
      <c r="B11" s="68" t="s">
        <v>64</v>
      </c>
      <c r="C11" s="77" t="s">
        <v>73</v>
      </c>
      <c r="D11" s="69">
        <v>21846.41</v>
      </c>
      <c r="E11" s="69">
        <v>19020</v>
      </c>
      <c r="F11" s="69">
        <v>32033.19</v>
      </c>
      <c r="G11" s="69">
        <v>46160.08</v>
      </c>
      <c r="H11" s="69">
        <f>SUM(D11:G11)</f>
        <v>119059.68000000001</v>
      </c>
    </row>
    <row r="12" spans="1:8" ht="12.75">
      <c r="A12" s="73">
        <v>5</v>
      </c>
      <c r="B12" s="68" t="s">
        <v>65</v>
      </c>
      <c r="C12" s="77" t="s">
        <v>74</v>
      </c>
      <c r="D12" s="69">
        <v>1675.27</v>
      </c>
      <c r="E12" s="69">
        <v>2795.77</v>
      </c>
      <c r="F12" s="69">
        <v>2633.16</v>
      </c>
      <c r="G12" s="69">
        <v>4402</v>
      </c>
      <c r="H12" s="69">
        <f>SUM(D12:G12)</f>
        <v>11506.2</v>
      </c>
    </row>
    <row r="13" spans="1:8" ht="12.75">
      <c r="A13" s="73">
        <v>6</v>
      </c>
      <c r="B13" s="68" t="s">
        <v>67</v>
      </c>
      <c r="C13" s="77" t="s">
        <v>75</v>
      </c>
      <c r="D13" s="69">
        <v>184319</v>
      </c>
      <c r="E13" s="69">
        <v>162000</v>
      </c>
      <c r="F13" s="69">
        <v>187933</v>
      </c>
      <c r="G13" s="69">
        <v>337000</v>
      </c>
      <c r="H13" s="69">
        <f>SUM(D13:G13)</f>
        <v>871252</v>
      </c>
    </row>
    <row r="14" spans="1:8" ht="12.75">
      <c r="A14" s="73">
        <v>7</v>
      </c>
      <c r="B14" s="68" t="s">
        <v>66</v>
      </c>
      <c r="C14" s="77" t="s">
        <v>76</v>
      </c>
      <c r="D14" s="69">
        <v>0</v>
      </c>
      <c r="E14" s="69">
        <v>269608</v>
      </c>
      <c r="F14" s="69">
        <v>0</v>
      </c>
      <c r="G14" s="69">
        <v>0</v>
      </c>
      <c r="H14" s="69">
        <f>SUM(D14:G14)</f>
        <v>269608</v>
      </c>
    </row>
    <row r="15" spans="1:8" ht="12.75">
      <c r="A15" s="73">
        <v>8</v>
      </c>
      <c r="B15" s="68" t="s">
        <v>13</v>
      </c>
      <c r="C15" s="64">
        <v>91</v>
      </c>
      <c r="D15" s="69">
        <v>29004.39</v>
      </c>
      <c r="E15" s="69">
        <v>28961.89</v>
      </c>
      <c r="F15" s="69">
        <v>22668.07</v>
      </c>
      <c r="G15" s="69">
        <v>34342.1</v>
      </c>
      <c r="H15" s="69">
        <f t="shared" si="0"/>
        <v>114976.45000000001</v>
      </c>
    </row>
    <row r="16" spans="1:8" ht="25.5">
      <c r="A16" s="73">
        <v>9</v>
      </c>
      <c r="B16" s="68" t="s">
        <v>21</v>
      </c>
      <c r="C16" s="64">
        <v>10</v>
      </c>
      <c r="D16" s="69">
        <f>5082.86+28238.9+33276.98</f>
        <v>66598.74</v>
      </c>
      <c r="E16" s="69">
        <f>45469+43267.6+48887.6</f>
        <v>137624.2</v>
      </c>
      <c r="F16" s="69">
        <f>82880.85+29442.5+64919.43</f>
        <v>177242.78</v>
      </c>
      <c r="G16" s="69">
        <f>104165.3+17840.34+43615.95</f>
        <v>165621.59</v>
      </c>
      <c r="H16" s="69">
        <f t="shared" si="0"/>
        <v>547087.3099999999</v>
      </c>
    </row>
    <row r="17" spans="1:8" ht="12.75">
      <c r="A17" s="73">
        <v>10</v>
      </c>
      <c r="B17" s="68" t="s">
        <v>40</v>
      </c>
      <c r="C17" s="66"/>
      <c r="D17" s="69">
        <v>0</v>
      </c>
      <c r="E17" s="69">
        <v>0</v>
      </c>
      <c r="F17" s="69">
        <v>0</v>
      </c>
      <c r="G17" s="69">
        <v>0</v>
      </c>
      <c r="H17" s="69">
        <f t="shared" si="0"/>
        <v>0</v>
      </c>
    </row>
    <row r="18" spans="1:8" ht="12.75">
      <c r="A18" s="73">
        <v>11</v>
      </c>
      <c r="B18" s="68" t="s">
        <v>14</v>
      </c>
      <c r="C18" s="64">
        <v>10</v>
      </c>
      <c r="D18" s="69">
        <v>6129.35</v>
      </c>
      <c r="E18" s="69">
        <v>2920.15</v>
      </c>
      <c r="F18" s="69">
        <v>5018.55</v>
      </c>
      <c r="G18" s="69">
        <v>5131.35</v>
      </c>
      <c r="H18" s="69">
        <f t="shared" si="0"/>
        <v>19199.4</v>
      </c>
    </row>
    <row r="19" spans="1:8" ht="12.75">
      <c r="A19" s="73">
        <v>12</v>
      </c>
      <c r="B19" s="68" t="s">
        <v>42</v>
      </c>
      <c r="C19" s="64"/>
      <c r="D19" s="69">
        <v>5705.68</v>
      </c>
      <c r="E19" s="69">
        <v>7414.61</v>
      </c>
      <c r="F19" s="69">
        <v>5650.15</v>
      </c>
      <c r="G19" s="69">
        <v>4100</v>
      </c>
      <c r="H19" s="69">
        <f t="shared" si="0"/>
        <v>22870.440000000002</v>
      </c>
    </row>
    <row r="20" spans="1:8" ht="38.25">
      <c r="A20" s="73">
        <v>13</v>
      </c>
      <c r="B20" s="68" t="s">
        <v>43</v>
      </c>
      <c r="C20" s="64"/>
      <c r="D20" s="69">
        <v>4288</v>
      </c>
      <c r="E20" s="69">
        <f>6157.5+890+14709</f>
        <v>21756.5</v>
      </c>
      <c r="F20" s="69">
        <f>1990+6696.76+2050</f>
        <v>10736.76</v>
      </c>
      <c r="G20" s="69">
        <f>2490+4866+490+2660+680</f>
        <v>11186</v>
      </c>
      <c r="H20" s="69">
        <f t="shared" si="0"/>
        <v>47967.26</v>
      </c>
    </row>
    <row r="21" spans="1:8" ht="25.5">
      <c r="A21" s="73">
        <v>14</v>
      </c>
      <c r="B21" s="78" t="s">
        <v>77</v>
      </c>
      <c r="C21" s="64"/>
      <c r="D21" s="69">
        <v>0</v>
      </c>
      <c r="E21" s="69">
        <v>8225</v>
      </c>
      <c r="F21" s="69">
        <v>6000</v>
      </c>
      <c r="G21" s="69">
        <v>0</v>
      </c>
      <c r="H21" s="69">
        <f t="shared" si="0"/>
        <v>14225</v>
      </c>
    </row>
    <row r="22" spans="1:8" ht="51">
      <c r="A22" s="73">
        <v>15</v>
      </c>
      <c r="B22" s="68" t="s">
        <v>70</v>
      </c>
      <c r="C22" s="64"/>
      <c r="D22" s="69">
        <f>1307.83+10374.77+1563.12+7651.84</f>
        <v>20897.56</v>
      </c>
      <c r="E22" s="69">
        <f>5000+2000+10000+5000</f>
        <v>22000</v>
      </c>
      <c r="F22" s="69">
        <f>13000</f>
        <v>13000</v>
      </c>
      <c r="G22" s="69">
        <v>15000</v>
      </c>
      <c r="H22" s="69">
        <f t="shared" si="0"/>
        <v>70897.56</v>
      </c>
    </row>
    <row r="23" spans="1:8" ht="12.75">
      <c r="A23" s="73">
        <v>16</v>
      </c>
      <c r="B23" s="68" t="s">
        <v>39</v>
      </c>
      <c r="C23" s="64"/>
      <c r="D23" s="69">
        <v>0</v>
      </c>
      <c r="E23" s="69">
        <v>0</v>
      </c>
      <c r="F23" s="69">
        <f>3936+268.3+244.65+1980+1090</f>
        <v>7518.95</v>
      </c>
      <c r="G23" s="69">
        <v>0</v>
      </c>
      <c r="H23" s="69">
        <f t="shared" si="0"/>
        <v>7518.95</v>
      </c>
    </row>
    <row r="24" spans="1:8" ht="38.25">
      <c r="A24" s="73">
        <v>17</v>
      </c>
      <c r="B24" s="68" t="s">
        <v>41</v>
      </c>
      <c r="C24" s="64"/>
      <c r="D24" s="69">
        <v>0</v>
      </c>
      <c r="E24" s="69">
        <v>0</v>
      </c>
      <c r="F24" s="69">
        <v>0</v>
      </c>
      <c r="G24" s="69">
        <v>0</v>
      </c>
      <c r="H24" s="69">
        <f t="shared" si="0"/>
        <v>0</v>
      </c>
    </row>
    <row r="25" spans="1:8" ht="25.5">
      <c r="A25" s="73">
        <v>18</v>
      </c>
      <c r="B25" s="68" t="s">
        <v>16</v>
      </c>
      <c r="C25" s="64"/>
      <c r="D25" s="69">
        <f>4000+4700</f>
        <v>8700</v>
      </c>
      <c r="E25" s="69">
        <f>3500+11610</f>
        <v>15110</v>
      </c>
      <c r="F25" s="69">
        <v>0</v>
      </c>
      <c r="G25" s="69">
        <v>8550</v>
      </c>
      <c r="H25" s="69">
        <f t="shared" si="0"/>
        <v>32360</v>
      </c>
    </row>
    <row r="26" spans="1:8" ht="12.75">
      <c r="A26" s="73">
        <v>19</v>
      </c>
      <c r="B26" s="68" t="s">
        <v>17</v>
      </c>
      <c r="C26" s="64"/>
      <c r="D26" s="69">
        <v>1250</v>
      </c>
      <c r="E26" s="69">
        <v>1350</v>
      </c>
      <c r="F26" s="69">
        <v>1350</v>
      </c>
      <c r="G26" s="69">
        <v>9800</v>
      </c>
      <c r="H26" s="69">
        <f t="shared" si="0"/>
        <v>13750</v>
      </c>
    </row>
    <row r="27" spans="1:8" ht="12.75">
      <c r="A27" s="73">
        <v>20</v>
      </c>
      <c r="B27" s="68" t="s">
        <v>18</v>
      </c>
      <c r="C27" s="64"/>
      <c r="D27" s="69">
        <v>103373.4</v>
      </c>
      <c r="E27" s="69">
        <v>103110.95</v>
      </c>
      <c r="F27" s="69">
        <v>218243.85</v>
      </c>
      <c r="G27" s="69">
        <f>11133.18+247694.8</f>
        <v>258827.97999999998</v>
      </c>
      <c r="H27" s="69">
        <f t="shared" si="0"/>
        <v>683556.1799999999</v>
      </c>
    </row>
    <row r="28" spans="1:8" ht="13.5" customHeight="1">
      <c r="A28" s="73">
        <v>21</v>
      </c>
      <c r="B28" s="68" t="s">
        <v>20</v>
      </c>
      <c r="C28" s="64"/>
      <c r="D28" s="69">
        <v>13529.09</v>
      </c>
      <c r="E28" s="69">
        <v>24787.11</v>
      </c>
      <c r="F28" s="69">
        <v>11398.02</v>
      </c>
      <c r="G28" s="69">
        <v>27697.63</v>
      </c>
      <c r="H28" s="69">
        <f t="shared" si="0"/>
        <v>77411.85</v>
      </c>
    </row>
    <row r="29" spans="1:8" ht="25.5">
      <c r="A29" s="73">
        <v>22</v>
      </c>
      <c r="B29" s="68" t="s">
        <v>34</v>
      </c>
      <c r="C29" s="64"/>
      <c r="D29" s="69">
        <f>33450+41074.76+8000</f>
        <v>82524.76000000001</v>
      </c>
      <c r="E29" s="69">
        <f>50175+190410.05+15340</f>
        <v>255925.05</v>
      </c>
      <c r="F29" s="69">
        <f>33090.32+194400.12+3500</f>
        <v>230990.44</v>
      </c>
      <c r="G29" s="69">
        <f>83625+302461.04</f>
        <v>386086.04</v>
      </c>
      <c r="H29" s="69">
        <f t="shared" si="0"/>
        <v>955526.29</v>
      </c>
    </row>
    <row r="30" spans="1:8" ht="12.75">
      <c r="A30" s="73">
        <v>23</v>
      </c>
      <c r="B30" s="68" t="s">
        <v>32</v>
      </c>
      <c r="C30" s="64"/>
      <c r="D30" s="69">
        <f>15000+2948+3570+580</f>
        <v>22098</v>
      </c>
      <c r="E30" s="69">
        <f>16800+1620+3570+36000</f>
        <v>57990</v>
      </c>
      <c r="F30" s="69">
        <f>2840+3840+20400+8000+678+167000+400950+4752+1620</f>
        <v>610080</v>
      </c>
      <c r="G30" s="69">
        <f>75000+19500+4284+8450+2840+4014.5</f>
        <v>114088.5</v>
      </c>
      <c r="H30" s="69">
        <f t="shared" si="0"/>
        <v>804256.5</v>
      </c>
    </row>
    <row r="31" spans="1:8" ht="21" customHeight="1">
      <c r="A31" s="74" t="s">
        <v>37</v>
      </c>
      <c r="B31" s="74"/>
      <c r="C31" s="74"/>
      <c r="D31" s="70">
        <f>SUM(D8:D30)</f>
        <v>1849193.67</v>
      </c>
      <c r="E31" s="70">
        <f>SUM(E8:E30)</f>
        <v>2536595.4499999997</v>
      </c>
      <c r="F31" s="70">
        <f>SUM(F8:F30)</f>
        <v>3163778.3</v>
      </c>
      <c r="G31" s="70">
        <f>SUM(G8:G30)</f>
        <v>3835880.77</v>
      </c>
      <c r="H31" s="70">
        <f>SUM(H8:H30)</f>
        <v>11385448.189999998</v>
      </c>
    </row>
    <row r="32" spans="1:8" ht="21" customHeight="1">
      <c r="A32" s="72"/>
      <c r="B32" s="72"/>
      <c r="C32" s="72"/>
      <c r="D32" s="75"/>
      <c r="E32" s="75"/>
      <c r="F32" s="75"/>
      <c r="G32" s="75"/>
      <c r="H32" s="75"/>
    </row>
    <row r="33" spans="1:8" ht="30" customHeight="1">
      <c r="A33" s="43"/>
      <c r="B33" s="74" t="s">
        <v>22</v>
      </c>
      <c r="C33" s="74"/>
      <c r="D33" s="74"/>
      <c r="E33" s="74"/>
      <c r="F33" s="74"/>
      <c r="G33" s="74"/>
      <c r="H33" s="65"/>
    </row>
    <row r="34" spans="1:8" ht="30" customHeight="1">
      <c r="A34" s="26"/>
      <c r="B34" s="76" t="s">
        <v>23</v>
      </c>
      <c r="C34" s="71" t="s">
        <v>71</v>
      </c>
      <c r="D34" s="69">
        <v>4325964.62</v>
      </c>
      <c r="E34" s="69">
        <f>4276733.96+119459.24</f>
        <v>4396193.2</v>
      </c>
      <c r="F34" s="69">
        <f>1473238.12+22027.81</f>
        <v>1495265.9300000002</v>
      </c>
      <c r="G34" s="69">
        <f>4144489.32+158682.09</f>
        <v>4303171.41</v>
      </c>
      <c r="H34" s="69">
        <f aca="true" t="shared" si="1" ref="H34:H41">SUM(D34:G34)</f>
        <v>14520595.16</v>
      </c>
    </row>
    <row r="35" spans="1:8" ht="30" customHeight="1">
      <c r="A35" s="26"/>
      <c r="B35" s="68" t="s">
        <v>45</v>
      </c>
      <c r="C35" s="64" t="s">
        <v>71</v>
      </c>
      <c r="D35" s="69">
        <f>250930.28+211984.18</f>
        <v>462914.45999999996</v>
      </c>
      <c r="E35" s="69">
        <f>278098.1+208920.43</f>
        <v>487018.52999999997</v>
      </c>
      <c r="F35" s="69">
        <f>339155.14+383018.13</f>
        <v>722173.27</v>
      </c>
      <c r="G35" s="69">
        <f>530970.83+471024.56</f>
        <v>1001995.3899999999</v>
      </c>
      <c r="H35" s="69">
        <f t="shared" si="1"/>
        <v>2674101.65</v>
      </c>
    </row>
    <row r="36" spans="1:8" ht="30" customHeight="1">
      <c r="A36" s="26"/>
      <c r="B36" s="68" t="s">
        <v>24</v>
      </c>
      <c r="C36" s="64" t="s">
        <v>71</v>
      </c>
      <c r="D36" s="69">
        <v>438073.47</v>
      </c>
      <c r="E36" s="69">
        <v>400683.32</v>
      </c>
      <c r="F36" s="69">
        <v>331592.14</v>
      </c>
      <c r="G36" s="69">
        <v>474318.31</v>
      </c>
      <c r="H36" s="69">
        <f t="shared" si="1"/>
        <v>1644667.2400000002</v>
      </c>
    </row>
    <row r="37" spans="1:8" ht="30" customHeight="1">
      <c r="A37" s="26"/>
      <c r="B37" s="68" t="s">
        <v>35</v>
      </c>
      <c r="C37" s="64" t="s">
        <v>71</v>
      </c>
      <c r="D37" s="69">
        <v>0</v>
      </c>
      <c r="E37" s="69">
        <v>0</v>
      </c>
      <c r="F37" s="69">
        <f>32214+17110</f>
        <v>49324</v>
      </c>
      <c r="G37" s="69">
        <v>19104.2</v>
      </c>
      <c r="H37" s="69">
        <f t="shared" si="1"/>
        <v>68428.2</v>
      </c>
    </row>
    <row r="38" spans="1:8" ht="49.5" customHeight="1">
      <c r="A38" s="26"/>
      <c r="B38" s="68" t="s">
        <v>69</v>
      </c>
      <c r="C38" s="64" t="s">
        <v>71</v>
      </c>
      <c r="D38" s="69">
        <v>0</v>
      </c>
      <c r="E38" s="69">
        <v>0</v>
      </c>
      <c r="F38" s="69">
        <v>0</v>
      </c>
      <c r="G38" s="69">
        <f>272159.99+6136+5378.91</f>
        <v>283674.89999999997</v>
      </c>
      <c r="H38" s="69">
        <f t="shared" si="1"/>
        <v>283674.89999999997</v>
      </c>
    </row>
    <row r="39" spans="1:8" ht="40.5" customHeight="1">
      <c r="A39" s="26"/>
      <c r="B39" s="68" t="s">
        <v>68</v>
      </c>
      <c r="C39" s="64" t="s">
        <v>71</v>
      </c>
      <c r="D39" s="69">
        <v>13736</v>
      </c>
      <c r="E39" s="69">
        <v>0</v>
      </c>
      <c r="F39" s="69">
        <v>68275</v>
      </c>
      <c r="G39" s="69">
        <v>0</v>
      </c>
      <c r="H39" s="69">
        <f t="shared" si="1"/>
        <v>82011</v>
      </c>
    </row>
    <row r="40" spans="1:8" ht="30" customHeight="1">
      <c r="A40" s="74" t="s">
        <v>31</v>
      </c>
      <c r="B40" s="74"/>
      <c r="C40" s="74"/>
      <c r="D40" s="70">
        <f>SUM(D34:D39)</f>
        <v>5240688.55</v>
      </c>
      <c r="E40" s="70">
        <f>SUM(E34:E39)</f>
        <v>5283895.050000001</v>
      </c>
      <c r="F40" s="70">
        <f>SUM(F34:F39)</f>
        <v>2666630.3400000003</v>
      </c>
      <c r="G40" s="70">
        <f>SUM(G34:G39)</f>
        <v>6082264.21</v>
      </c>
      <c r="H40" s="70">
        <f t="shared" si="1"/>
        <v>19273478.150000002</v>
      </c>
    </row>
    <row r="41" spans="1:10" ht="30" customHeight="1">
      <c r="A41" s="79" t="s">
        <v>54</v>
      </c>
      <c r="B41" s="79"/>
      <c r="C41" s="79"/>
      <c r="D41" s="69">
        <f>SUM(D8:D30)+D40</f>
        <v>7089882.22</v>
      </c>
      <c r="E41" s="69">
        <f>SUM(E8:E30)+E40</f>
        <v>7820490.5</v>
      </c>
      <c r="F41" s="69">
        <f>SUM(F8:F30)+F40</f>
        <v>5830408.640000001</v>
      </c>
      <c r="G41" s="69">
        <f>SUM(G8:G30)+G40</f>
        <v>9918144.98</v>
      </c>
      <c r="H41" s="69">
        <f t="shared" si="1"/>
        <v>30658926.34</v>
      </c>
      <c r="J41" s="47"/>
    </row>
  </sheetData>
  <sheetProtection/>
  <mergeCells count="8">
    <mergeCell ref="B1:H1"/>
    <mergeCell ref="A31:C31"/>
    <mergeCell ref="B33:G33"/>
    <mergeCell ref="A40:C40"/>
    <mergeCell ref="A41:C41"/>
    <mergeCell ref="A7:B7"/>
    <mergeCell ref="A4:H4"/>
    <mergeCell ref="A5:H5"/>
  </mergeCells>
  <printOptions/>
  <pageMargins left="0.17" right="0.17" top="0.3" bottom="0.54" header="0.19" footer="0.1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ГлБухгалтер</dc:creator>
  <cp:keywords/>
  <dc:description/>
  <cp:lastModifiedBy>User</cp:lastModifiedBy>
  <cp:lastPrinted>2014-02-07T02:57:53Z</cp:lastPrinted>
  <dcterms:created xsi:type="dcterms:W3CDTF">2010-03-22T08:10:44Z</dcterms:created>
  <dcterms:modified xsi:type="dcterms:W3CDTF">2014-09-09T02:51:58Z</dcterms:modified>
  <cp:category/>
  <cp:version/>
  <cp:contentType/>
  <cp:contentStatus/>
</cp:coreProperties>
</file>